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8915" windowHeight="11820"/>
  </bookViews>
  <sheets>
    <sheet name="Feuil1" sheetId="1" r:id="rId1"/>
    <sheet name="Feuil2" sheetId="2" r:id="rId2"/>
    <sheet name="Feuil3" sheetId="3" r:id="rId3"/>
  </sheets>
  <calcPr calcId="125725"/>
</workbook>
</file>

<file path=xl/calcChain.xml><?xml version="1.0" encoding="utf-8"?>
<calcChain xmlns="http://schemas.openxmlformats.org/spreadsheetml/2006/main">
  <c r="M221" i="1"/>
  <c r="C221"/>
  <c r="Q183"/>
  <c r="Q182"/>
  <c r="M178"/>
  <c r="M173"/>
  <c r="M171"/>
  <c r="P168"/>
  <c r="M168"/>
  <c r="M166"/>
  <c r="M162"/>
  <c r="M160"/>
  <c r="M155"/>
  <c r="P173"/>
  <c r="P162"/>
  <c r="G183"/>
  <c r="G182"/>
  <c r="C178"/>
  <c r="F173" l="1"/>
  <c r="C173"/>
  <c r="C171"/>
  <c r="F168"/>
  <c r="C168"/>
  <c r="C166"/>
  <c r="F162"/>
  <c r="C162"/>
  <c r="C160"/>
  <c r="C155"/>
  <c r="C122"/>
  <c r="C50"/>
  <c r="C118"/>
  <c r="C114"/>
  <c r="C110"/>
  <c r="C108"/>
  <c r="C106"/>
  <c r="C104"/>
  <c r="C98"/>
  <c r="I90"/>
  <c r="F90"/>
  <c r="C84"/>
  <c r="C80"/>
  <c r="C76"/>
  <c r="C62"/>
  <c r="C60"/>
  <c r="C54"/>
  <c r="C90" s="1"/>
  <c r="C94" s="1"/>
  <c r="C20"/>
  <c r="D31"/>
  <c r="D29"/>
  <c r="D26"/>
  <c r="B30"/>
  <c r="D24"/>
  <c r="C46" s="1"/>
  <c r="B25"/>
  <c r="C36"/>
  <c r="C16"/>
  <c r="C42" s="1"/>
  <c r="C38" l="1"/>
</calcChain>
</file>

<file path=xl/sharedStrings.xml><?xml version="1.0" encoding="utf-8"?>
<sst xmlns="http://schemas.openxmlformats.org/spreadsheetml/2006/main" count="299" uniqueCount="165">
  <si>
    <t>Produit :</t>
  </si>
  <si>
    <t>Entrée :</t>
  </si>
  <si>
    <t>VAC</t>
  </si>
  <si>
    <t>Hz</t>
  </si>
  <si>
    <t>(+/- 10%)</t>
  </si>
  <si>
    <t>Vout 2</t>
  </si>
  <si>
    <t>Vout 3</t>
  </si>
  <si>
    <t>VDC</t>
  </si>
  <si>
    <t>A</t>
  </si>
  <si>
    <t>PIC 590</t>
  </si>
  <si>
    <t>Pout =</t>
  </si>
  <si>
    <t>W</t>
  </si>
  <si>
    <t>1) Puissance totale en sortie :</t>
  </si>
  <si>
    <t>2) Puissance estimée en entrée :</t>
  </si>
  <si>
    <r>
      <rPr>
        <b/>
        <sz val="11"/>
        <color theme="1"/>
        <rFont val="Calibri"/>
        <family val="2"/>
        <scheme val="minor"/>
      </rPr>
      <t xml:space="preserve">Sortie : </t>
    </r>
    <r>
      <rPr>
        <sz val="11"/>
        <color theme="1"/>
        <rFont val="Calibri"/>
        <family val="2"/>
        <scheme val="minor"/>
      </rPr>
      <t>Vout 1</t>
    </r>
  </si>
  <si>
    <t>Pin =</t>
  </si>
  <si>
    <t>3) Tension min et max en entrée :</t>
  </si>
  <si>
    <t>V</t>
  </si>
  <si>
    <t>V --&gt; Vin(min)</t>
  </si>
  <si>
    <t>230*0,9*racine(2)</t>
  </si>
  <si>
    <t>230*1,1*racine(2)</t>
  </si>
  <si>
    <t>(+/- 10 %)</t>
  </si>
  <si>
    <r>
      <t>Pin = Pout/</t>
    </r>
    <r>
      <rPr>
        <sz val="11"/>
        <color rgb="FFFF0000"/>
        <rFont val="Calibri"/>
        <family val="2"/>
      </rPr>
      <t>η</t>
    </r>
  </si>
  <si>
    <t>V --&gt; Vin(max)</t>
  </si>
  <si>
    <t>400*0,9*racine(2)</t>
  </si>
  <si>
    <t>400*1,1*racine(2)</t>
  </si>
  <si>
    <t xml:space="preserve"> </t>
  </si>
  <si>
    <t>4) Courant d'entrée :</t>
  </si>
  <si>
    <t>Iin(min) =</t>
  </si>
  <si>
    <t>Iin(max) =</t>
  </si>
  <si>
    <t>Iin(max) = Pin/Vin(min)</t>
  </si>
  <si>
    <t>Iin(min) = Pin/Vin(max)</t>
  </si>
  <si>
    <t>5) Courant peak estimé au primaire :</t>
  </si>
  <si>
    <t>Ipk =</t>
  </si>
  <si>
    <t>Ipk = (5,5*Pout)/(Vin(min))</t>
  </si>
  <si>
    <t>6) Determination du rapport Np/Ns1 :</t>
  </si>
  <si>
    <t>Np/Ns1 =</t>
  </si>
  <si>
    <t>Np/Ns1 = (Vin(min))/(Vout+Vd)</t>
  </si>
  <si>
    <t>7) Calcul de l'inductance primaire :</t>
  </si>
  <si>
    <t>Lp =</t>
  </si>
  <si>
    <t>f(sw) =</t>
  </si>
  <si>
    <t>η =</t>
  </si>
  <si>
    <t>H</t>
  </si>
  <si>
    <r>
      <t xml:space="preserve">Lp = </t>
    </r>
    <r>
      <rPr>
        <sz val="11"/>
        <color rgb="FFFF0000"/>
        <rFont val="Calibri"/>
        <family val="2"/>
      </rPr>
      <t>η*((Vin(min)²)/(8*Pout*f(sw)))</t>
    </r>
  </si>
  <si>
    <t>8) Finalisation du courant peak circulant dans le transistor MOSFET :</t>
  </si>
  <si>
    <t>Ipeak =</t>
  </si>
  <si>
    <t xml:space="preserve">          = (Vin(min)*T)/(2*Lp)</t>
  </si>
  <si>
    <t xml:space="preserve">          = (Vin(min))/(2*Lp*f)</t>
  </si>
  <si>
    <t xml:space="preserve">Ipeak = (Vin(min)*Ton(max))/Lp </t>
  </si>
  <si>
    <t>9) Dimensionnement Capa réservoir Cin :</t>
  </si>
  <si>
    <t>Win =</t>
  </si>
  <si>
    <t>f(secteur) =</t>
  </si>
  <si>
    <t>Win = Pin/f(secteur) = Pout/(η*f(secteur))</t>
  </si>
  <si>
    <t>Cin =</t>
  </si>
  <si>
    <t>Cin = Win/(Vmax²-Vmin²)</t>
  </si>
  <si>
    <t>La tension secteur minimale étant Vmin=</t>
  </si>
  <si>
    <t>Veff</t>
  </si>
  <si>
    <t xml:space="preserve">            Vmax=</t>
  </si>
  <si>
    <t>On choisie comme valeur normalisé Cin =</t>
  </si>
  <si>
    <t>J</t>
  </si>
  <si>
    <t>F</t>
  </si>
  <si>
    <t>Etant donné que l'on a au maximum 440*racine(2) = 622V, on décide de mettre en série 2 condensateur qui vont se partager la tension</t>
  </si>
  <si>
    <t>sous 400Vdc</t>
  </si>
  <si>
    <t>La tension minimale est atteinte quand la puissance est maximale et la tension secteur minimale, c'est dans ce cas le plus défavorable que la capacité réservoir devra fournir l'energie maximale à la charge.</t>
  </si>
  <si>
    <t>t( c )charge =</t>
  </si>
  <si>
    <t>s</t>
  </si>
  <si>
    <t>t( c )charge = (ACOS(Vmin/Vmax))/(2*pi*f(secteur))</t>
  </si>
  <si>
    <t>9-2) Calcul du courant de charge AC Ichg(RMS)AC :</t>
  </si>
  <si>
    <t>Ichg(RMS)AC =</t>
  </si>
  <si>
    <t>9-1) Calcul de la largeur de l'impulsion de charge de C :</t>
  </si>
  <si>
    <t>C = Cin1 = Cin2 =</t>
  </si>
  <si>
    <t>Ichg(RMS)AC = (C*(Vmax-Vmin))/(t( c )charge)</t>
  </si>
  <si>
    <t>9-3) Calcul du courant de charge DC Ichg(RMS)DC :</t>
  </si>
  <si>
    <t>Ichg(RMS)DC =</t>
  </si>
  <si>
    <t xml:space="preserve">Ichg(RMS)DC = Ichg(RMS)AC*racine((t( c )charge*2*f(secteur))-(t( c )charge*2*f(secteur))²) </t>
  </si>
  <si>
    <t>10) Dimensionnement du pont de diodes en entrée :</t>
  </si>
  <si>
    <t>Cette valeur va nous permettre de choisir la capacité réservoir la mieux adaptée.</t>
  </si>
  <si>
    <t xml:space="preserve">A </t>
  </si>
  <si>
    <t xml:space="preserve">pendant </t>
  </si>
  <si>
    <t>on prend une marge de sécurité sur le Ipeak :</t>
  </si>
  <si>
    <t>Idmax =</t>
  </si>
  <si>
    <t>Le pont de diodes devra supporter une tension inverse de :</t>
  </si>
  <si>
    <t>V(pont)inv =</t>
  </si>
  <si>
    <t>10) Dimensionnement du transformateur :</t>
  </si>
  <si>
    <t>Np/Ns2 =</t>
  </si>
  <si>
    <t>Np/Naux =</t>
  </si>
  <si>
    <t xml:space="preserve"> ---&gt; tension de sortie Vout 2</t>
  </si>
  <si>
    <t xml:space="preserve"> ---&gt; tension auxiliaire Vaux</t>
  </si>
  <si>
    <t>Np/Ns1 = Vin(min)/(Vout1+Vd)</t>
  </si>
  <si>
    <t>Np/Ns2 = Vin(min)/(Vout2+Vd)</t>
  </si>
  <si>
    <t>Np/Naux = Vin(min)/(Vaux+Vd)</t>
  </si>
  <si>
    <t xml:space="preserve">La tension maximale aux bornes du MOSFET est de : </t>
  </si>
  <si>
    <t>Vds(max) =</t>
  </si>
  <si>
    <t>Idmax = 2*Ipeak</t>
  </si>
  <si>
    <t>V(pont)inv = 400*1,1*racine(2)</t>
  </si>
  <si>
    <t xml:space="preserve">  ---&gt; tension de sortie Vout 1</t>
  </si>
  <si>
    <t>Vds(max) = Vin(max)+(Np/Naux)*(Vaux+1)</t>
  </si>
  <si>
    <t>Calculons Lp*Ipeak² pour pouvoir selectionner un noyau magnétique :</t>
  </si>
  <si>
    <t>Rapport de transformation Np/Ns.</t>
  </si>
  <si>
    <t>Lp*Ipeak² =</t>
  </si>
  <si>
    <t>mH*A²</t>
  </si>
  <si>
    <t>Referons nous à la courbe ci-dessous :</t>
  </si>
  <si>
    <t>D'apres nos calculs, le noyau  qui conviendrait le mieux c'est le ETD34.</t>
  </si>
  <si>
    <t>Premieres informations :</t>
  </si>
  <si>
    <t>Concernant les dimensions (mm) :</t>
  </si>
  <si>
    <t>Calcul du nombre de spires au primaire :</t>
  </si>
  <si>
    <t>N =</t>
  </si>
  <si>
    <t>Al =</t>
  </si>
  <si>
    <t>Ie =</t>
  </si>
  <si>
    <t>Ae =</t>
  </si>
  <si>
    <t>Ve =</t>
  </si>
  <si>
    <t>WaAc =</t>
  </si>
  <si>
    <t>Weight =</t>
  </si>
  <si>
    <t>mH/1000tr</t>
  </si>
  <si>
    <t>mm</t>
  </si>
  <si>
    <t>mm²</t>
  </si>
  <si>
    <t>mm^3</t>
  </si>
  <si>
    <t>cm^4</t>
  </si>
  <si>
    <t>g</t>
  </si>
  <si>
    <t>Amin =</t>
  </si>
  <si>
    <t>A =</t>
  </si>
  <si>
    <t>B =</t>
  </si>
  <si>
    <t>C =</t>
  </si>
  <si>
    <t>D =</t>
  </si>
  <si>
    <t>E =</t>
  </si>
  <si>
    <t>F =</t>
  </si>
  <si>
    <t>N = 10^3*racine(Lp/Al)</t>
  </si>
  <si>
    <t>Np =</t>
  </si>
  <si>
    <t>tr</t>
  </si>
  <si>
    <t>Calcul du nombre de spires sur les secondaires :</t>
  </si>
  <si>
    <t xml:space="preserve">         ---&gt;</t>
  </si>
  <si>
    <t>Ns1 =</t>
  </si>
  <si>
    <t xml:space="preserve">  ---&gt; tension de sortie Vout 2</t>
  </si>
  <si>
    <t xml:space="preserve">  ---&gt; tension de sortie Vaux</t>
  </si>
  <si>
    <t>Ns2 =</t>
  </si>
  <si>
    <t>Naux =</t>
  </si>
  <si>
    <t>Calcul de la perméabilité effective :</t>
  </si>
  <si>
    <r>
      <rPr>
        <sz val="11"/>
        <color theme="1"/>
        <rFont val="Calibri"/>
        <family val="2"/>
      </rPr>
      <t>µ</t>
    </r>
    <r>
      <rPr>
        <sz val="9.35"/>
        <color theme="1"/>
        <rFont val="Calibri"/>
        <family val="2"/>
      </rPr>
      <t>e =</t>
    </r>
  </si>
  <si>
    <r>
      <t>µ</t>
    </r>
    <r>
      <rPr>
        <sz val="9.35"/>
        <color rgb="FFFF0000"/>
        <rFont val="Calibri"/>
        <family val="2"/>
      </rPr>
      <t>e = (Al*le)/(4*pi*Ae)</t>
    </r>
  </si>
  <si>
    <t>oersted</t>
  </si>
  <si>
    <t>A.T/cm</t>
  </si>
  <si>
    <t xml:space="preserve"> ---&gt;</t>
  </si>
  <si>
    <t>NI(max) =</t>
  </si>
  <si>
    <t>A.T</t>
  </si>
  <si>
    <t>NI(max) = 0,80*H*le</t>
  </si>
  <si>
    <t>NI(max) = A.T/cm*le</t>
  </si>
  <si>
    <t>On trouve les valeurs suivantes avec la courbe ci-dessous :</t>
  </si>
  <si>
    <t>Le noyau ETD34 pourra supporter 14,148 A.T</t>
  </si>
  <si>
    <t>Le noyau EER28 pourrait également convenir.</t>
  </si>
  <si>
    <t xml:space="preserve"> +/- 0,55 mm</t>
  </si>
  <si>
    <t xml:space="preserve"> +/- 0,5 mm</t>
  </si>
  <si>
    <t xml:space="preserve"> +/- 0,4 mm</t>
  </si>
  <si>
    <t xml:space="preserve"> +/- 0,35 mm</t>
  </si>
  <si>
    <t xml:space="preserve"> +/- 0,2 mm</t>
  </si>
  <si>
    <t xml:space="preserve"> +/- 0,25mm</t>
  </si>
  <si>
    <t xml:space="preserve"> +0/-1,6 mm</t>
  </si>
  <si>
    <t xml:space="preserve"> +0/-0,6 mm</t>
  </si>
  <si>
    <t xml:space="preserve"> +0,6/-0 mm</t>
  </si>
  <si>
    <t xml:space="preserve"> +1,4/-0 mm</t>
  </si>
  <si>
    <t>On trouve en excitation magnétique (H) :</t>
  </si>
  <si>
    <t>H =</t>
  </si>
  <si>
    <t>Le noyau EER28 pourra supporter entre17,28 et 17,408 A.T</t>
  </si>
  <si>
    <t>En utilisant la courbe ci-dessous on trouve le champ magnétique B :</t>
  </si>
  <si>
    <t>GAUSS</t>
  </si>
  <si>
    <t>T</t>
  </si>
</sst>
</file>

<file path=xl/styles.xml><?xml version="1.0" encoding="utf-8"?>
<styleSheet xmlns="http://schemas.openxmlformats.org/spreadsheetml/2006/main">
  <numFmts count="3">
    <numFmt numFmtId="164" formatCode="0.0000"/>
    <numFmt numFmtId="165" formatCode="0.000"/>
    <numFmt numFmtId="166" formatCode="0.0"/>
  </numFmts>
  <fonts count="7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</font>
    <font>
      <sz val="11"/>
      <color theme="1"/>
      <name val="Calibri"/>
      <family val="2"/>
    </font>
    <font>
      <sz val="9.35"/>
      <color theme="1"/>
      <name val="Calibri"/>
      <family val="2"/>
    </font>
    <font>
      <sz val="9.35"/>
      <color rgb="FFFF0000"/>
      <name val="Calibri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Border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/>
    <xf numFmtId="1" fontId="0" fillId="0" borderId="0" xfId="0" applyNumberFormat="1"/>
    <xf numFmtId="0" fontId="1" fillId="0" borderId="0" xfId="0" applyFont="1"/>
    <xf numFmtId="164" fontId="0" fillId="0" borderId="1" xfId="0" applyNumberForma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Fill="1" applyBorder="1" applyAlignment="1">
      <alignment horizontal="right"/>
    </xf>
    <xf numFmtId="0" fontId="0" fillId="0" borderId="0" xfId="0" applyFill="1" applyBorder="1" applyAlignment="1">
      <alignment horizontal="center" vertical="center"/>
    </xf>
    <xf numFmtId="0" fontId="0" fillId="0" borderId="0" xfId="0" applyFont="1" applyFill="1" applyBorder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1" fontId="0" fillId="0" borderId="1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/>
    </xf>
    <xf numFmtId="166" fontId="0" fillId="0" borderId="1" xfId="0" applyNumberFormat="1" applyBorder="1" applyAlignment="1">
      <alignment horizontal="center" vertical="center"/>
    </xf>
    <xf numFmtId="0" fontId="2" fillId="0" borderId="2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left" wrapText="1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1" fillId="0" borderId="0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228601</xdr:colOff>
      <xdr:row>22</xdr:row>
      <xdr:rowOff>104775</xdr:rowOff>
    </xdr:from>
    <xdr:to>
      <xdr:col>2</xdr:col>
      <xdr:colOff>552451</xdr:colOff>
      <xdr:row>26</xdr:row>
      <xdr:rowOff>104775</xdr:rowOff>
    </xdr:to>
    <xdr:sp macro="" textlink="">
      <xdr:nvSpPr>
        <xdr:cNvPr id="2" name="Accolade ouvrante 1"/>
        <xdr:cNvSpPr/>
      </xdr:nvSpPr>
      <xdr:spPr>
        <a:xfrm>
          <a:off x="1866901" y="3724275"/>
          <a:ext cx="323850" cy="762000"/>
        </a:xfrm>
        <a:prstGeom prst="leftBrac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2</xdr:col>
      <xdr:colOff>219075</xdr:colOff>
      <xdr:row>27</xdr:row>
      <xdr:rowOff>95250</xdr:rowOff>
    </xdr:from>
    <xdr:to>
      <xdr:col>2</xdr:col>
      <xdr:colOff>542925</xdr:colOff>
      <xdr:row>31</xdr:row>
      <xdr:rowOff>95250</xdr:rowOff>
    </xdr:to>
    <xdr:sp macro="" textlink="">
      <xdr:nvSpPr>
        <xdr:cNvPr id="3" name="Accolade ouvrante 2"/>
        <xdr:cNvSpPr/>
      </xdr:nvSpPr>
      <xdr:spPr>
        <a:xfrm>
          <a:off x="1857375" y="4667250"/>
          <a:ext cx="323850" cy="762000"/>
        </a:xfrm>
        <a:prstGeom prst="leftBrac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 editAs="oneCell">
    <xdr:from>
      <xdr:col>5</xdr:col>
      <xdr:colOff>130175</xdr:colOff>
      <xdr:row>124</xdr:row>
      <xdr:rowOff>57793</xdr:rowOff>
    </xdr:from>
    <xdr:to>
      <xdr:col>9</xdr:col>
      <xdr:colOff>498218</xdr:colOff>
      <xdr:row>137</xdr:row>
      <xdr:rowOff>43507</xdr:rowOff>
    </xdr:to>
    <xdr:pic>
      <xdr:nvPicPr>
        <xdr:cNvPr id="4" name="Image 3" descr="Abaque choix noyau ferrite MAGNETICS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44440" y="23679793"/>
          <a:ext cx="3416043" cy="2462214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5</xdr:col>
      <xdr:colOff>151035</xdr:colOff>
      <xdr:row>137</xdr:row>
      <xdr:rowOff>128258</xdr:rowOff>
    </xdr:from>
    <xdr:to>
      <xdr:col>9</xdr:col>
      <xdr:colOff>519853</xdr:colOff>
      <xdr:row>150</xdr:row>
      <xdr:rowOff>131353</xdr:rowOff>
    </xdr:to>
    <xdr:pic>
      <xdr:nvPicPr>
        <xdr:cNvPr id="5" name="Image 4" descr="schéma noyau magnétique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465300" y="26226758"/>
          <a:ext cx="3416818" cy="2479595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0</xdr:col>
      <xdr:colOff>1</xdr:colOff>
      <xdr:row>184</xdr:row>
      <xdr:rowOff>100854</xdr:rowOff>
    </xdr:from>
    <xdr:to>
      <xdr:col>9</xdr:col>
      <xdr:colOff>232948</xdr:colOff>
      <xdr:row>216</xdr:row>
      <xdr:rowOff>108857</xdr:rowOff>
    </xdr:to>
    <xdr:pic>
      <xdr:nvPicPr>
        <xdr:cNvPr id="6" name="Image 5" descr="designcurve.jp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" y="35152854"/>
          <a:ext cx="7580804" cy="6104003"/>
        </a:xfrm>
        <a:prstGeom prst="rect">
          <a:avLst/>
        </a:prstGeom>
      </xdr:spPr>
    </xdr:pic>
    <xdr:clientData/>
  </xdr:twoCellAnchor>
  <xdr:twoCellAnchor>
    <xdr:from>
      <xdr:col>9</xdr:col>
      <xdr:colOff>693964</xdr:colOff>
      <xdr:row>123</xdr:row>
      <xdr:rowOff>163286</xdr:rowOff>
    </xdr:from>
    <xdr:to>
      <xdr:col>9</xdr:col>
      <xdr:colOff>707572</xdr:colOff>
      <xdr:row>224</xdr:row>
      <xdr:rowOff>149679</xdr:rowOff>
    </xdr:to>
    <xdr:cxnSp macro="">
      <xdr:nvCxnSpPr>
        <xdr:cNvPr id="10" name="Connecteur droit 9"/>
        <xdr:cNvCxnSpPr/>
      </xdr:nvCxnSpPr>
      <xdr:spPr>
        <a:xfrm flipH="1">
          <a:off x="8041821" y="23594786"/>
          <a:ext cx="13608" cy="19226893"/>
        </a:xfrm>
        <a:prstGeom prst="line">
          <a:avLst/>
        </a:prstGeom>
        <a:ln w="3810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14</xdr:col>
      <xdr:colOff>598714</xdr:colOff>
      <xdr:row>123</xdr:row>
      <xdr:rowOff>149679</xdr:rowOff>
    </xdr:from>
    <xdr:to>
      <xdr:col>19</xdr:col>
      <xdr:colOff>204757</xdr:colOff>
      <xdr:row>136</xdr:row>
      <xdr:rowOff>135393</xdr:rowOff>
    </xdr:to>
    <xdr:pic>
      <xdr:nvPicPr>
        <xdr:cNvPr id="11" name="Image 10" descr="Abaque choix noyau ferrite MAGNETICS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756571" y="23581179"/>
          <a:ext cx="3416043" cy="2462214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14</xdr:col>
      <xdr:colOff>571499</xdr:colOff>
      <xdr:row>137</xdr:row>
      <xdr:rowOff>68037</xdr:rowOff>
    </xdr:from>
    <xdr:to>
      <xdr:col>19</xdr:col>
      <xdr:colOff>204107</xdr:colOff>
      <xdr:row>150</xdr:row>
      <xdr:rowOff>108255</xdr:rowOff>
    </xdr:to>
    <xdr:pic>
      <xdr:nvPicPr>
        <xdr:cNvPr id="12" name="Image 11" descr="schéma noyau magnétique EER.jpg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1729356" y="26166537"/>
          <a:ext cx="3442608" cy="2516718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  <xdr:twoCellAnchor editAs="oneCell">
    <xdr:from>
      <xdr:col>9</xdr:col>
      <xdr:colOff>738187</xdr:colOff>
      <xdr:row>184</xdr:row>
      <xdr:rowOff>166687</xdr:rowOff>
    </xdr:from>
    <xdr:to>
      <xdr:col>19</xdr:col>
      <xdr:colOff>304385</xdr:colOff>
      <xdr:row>216</xdr:row>
      <xdr:rowOff>174690</xdr:rowOff>
    </xdr:to>
    <xdr:pic>
      <xdr:nvPicPr>
        <xdr:cNvPr id="13" name="Image 12" descr="designcurve.jp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8096250" y="35218687"/>
          <a:ext cx="7591010" cy="6104003"/>
        </a:xfrm>
        <a:prstGeom prst="rect">
          <a:avLst/>
        </a:prstGeom>
      </xdr:spPr>
    </xdr:pic>
    <xdr:clientData/>
  </xdr:twoCellAnchor>
  <xdr:twoCellAnchor>
    <xdr:from>
      <xdr:col>1</xdr:col>
      <xdr:colOff>146538</xdr:colOff>
      <xdr:row>196</xdr:row>
      <xdr:rowOff>146538</xdr:rowOff>
    </xdr:from>
    <xdr:to>
      <xdr:col>4</xdr:col>
      <xdr:colOff>402981</xdr:colOff>
      <xdr:row>196</xdr:row>
      <xdr:rowOff>146538</xdr:rowOff>
    </xdr:to>
    <xdr:cxnSp macro="">
      <xdr:nvCxnSpPr>
        <xdr:cNvPr id="15" name="Connecteur droit 14"/>
        <xdr:cNvCxnSpPr/>
      </xdr:nvCxnSpPr>
      <xdr:spPr>
        <a:xfrm flipH="1">
          <a:off x="908538" y="37484538"/>
          <a:ext cx="2923443" cy="0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315058</xdr:colOff>
      <xdr:row>187</xdr:row>
      <xdr:rowOff>117231</xdr:rowOff>
    </xdr:from>
    <xdr:to>
      <xdr:col>4</xdr:col>
      <xdr:colOff>315058</xdr:colOff>
      <xdr:row>213</xdr:row>
      <xdr:rowOff>117231</xdr:rowOff>
    </xdr:to>
    <xdr:cxnSp macro="">
      <xdr:nvCxnSpPr>
        <xdr:cNvPr id="17" name="Connecteur droit 16"/>
        <xdr:cNvCxnSpPr/>
      </xdr:nvCxnSpPr>
      <xdr:spPr>
        <a:xfrm>
          <a:off x="3744058" y="35740731"/>
          <a:ext cx="0" cy="4953000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646925</xdr:colOff>
      <xdr:row>187</xdr:row>
      <xdr:rowOff>181017</xdr:rowOff>
    </xdr:from>
    <xdr:to>
      <xdr:col>14</xdr:col>
      <xdr:colOff>646925</xdr:colOff>
      <xdr:row>213</xdr:row>
      <xdr:rowOff>181017</xdr:rowOff>
    </xdr:to>
    <xdr:cxnSp macro="">
      <xdr:nvCxnSpPr>
        <xdr:cNvPr id="19" name="Connecteur droit 18"/>
        <xdr:cNvCxnSpPr/>
      </xdr:nvCxnSpPr>
      <xdr:spPr>
        <a:xfrm>
          <a:off x="12223463" y="35804517"/>
          <a:ext cx="0" cy="4953000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139211</xdr:colOff>
      <xdr:row>198</xdr:row>
      <xdr:rowOff>58615</xdr:rowOff>
    </xdr:from>
    <xdr:to>
      <xdr:col>14</xdr:col>
      <xdr:colOff>685401</xdr:colOff>
      <xdr:row>198</xdr:row>
      <xdr:rowOff>59282</xdr:rowOff>
    </xdr:to>
    <xdr:cxnSp macro="">
      <xdr:nvCxnSpPr>
        <xdr:cNvPr id="20" name="Connecteur droit 19"/>
        <xdr:cNvCxnSpPr/>
      </xdr:nvCxnSpPr>
      <xdr:spPr>
        <a:xfrm flipH="1" flipV="1">
          <a:off x="9019442" y="37777615"/>
          <a:ext cx="3242497" cy="667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186741</xdr:colOff>
      <xdr:row>125</xdr:row>
      <xdr:rowOff>111512</xdr:rowOff>
    </xdr:from>
    <xdr:to>
      <xdr:col>6</xdr:col>
      <xdr:colOff>186741</xdr:colOff>
      <xdr:row>135</xdr:row>
      <xdr:rowOff>88280</xdr:rowOff>
    </xdr:to>
    <xdr:cxnSp macro="">
      <xdr:nvCxnSpPr>
        <xdr:cNvPr id="23" name="Connecteur droit 22"/>
        <xdr:cNvCxnSpPr/>
      </xdr:nvCxnSpPr>
      <xdr:spPr>
        <a:xfrm>
          <a:off x="5254601" y="23924012"/>
          <a:ext cx="0" cy="1881768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588169</xdr:colOff>
      <xdr:row>126</xdr:row>
      <xdr:rowOff>150019</xdr:rowOff>
    </xdr:from>
    <xdr:to>
      <xdr:col>6</xdr:col>
      <xdr:colOff>229724</xdr:colOff>
      <xdr:row>126</xdr:row>
      <xdr:rowOff>151281</xdr:rowOff>
    </xdr:to>
    <xdr:cxnSp macro="">
      <xdr:nvCxnSpPr>
        <xdr:cNvPr id="28" name="Connecteur droit 27"/>
        <xdr:cNvCxnSpPr/>
      </xdr:nvCxnSpPr>
      <xdr:spPr>
        <a:xfrm flipH="1" flipV="1">
          <a:off x="4893469" y="24153019"/>
          <a:ext cx="403555" cy="1262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186298</xdr:colOff>
      <xdr:row>125</xdr:row>
      <xdr:rowOff>111512</xdr:rowOff>
    </xdr:from>
    <xdr:to>
      <xdr:col>6</xdr:col>
      <xdr:colOff>186298</xdr:colOff>
      <xdr:row>135</xdr:row>
      <xdr:rowOff>88280</xdr:rowOff>
    </xdr:to>
    <xdr:cxnSp macro="">
      <xdr:nvCxnSpPr>
        <xdr:cNvPr id="35" name="Connecteur droit 34"/>
        <xdr:cNvCxnSpPr/>
      </xdr:nvCxnSpPr>
      <xdr:spPr>
        <a:xfrm>
          <a:off x="5254601" y="23924012"/>
          <a:ext cx="0" cy="1881768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657094</xdr:colOff>
      <xdr:row>125</xdr:row>
      <xdr:rowOff>11851</xdr:rowOff>
    </xdr:from>
    <xdr:to>
      <xdr:col>15</xdr:col>
      <xdr:colOff>657094</xdr:colOff>
      <xdr:row>134</xdr:row>
      <xdr:rowOff>179119</xdr:rowOff>
    </xdr:to>
    <xdr:cxnSp macro="">
      <xdr:nvCxnSpPr>
        <xdr:cNvPr id="36" name="Connecteur droit 35"/>
        <xdr:cNvCxnSpPr/>
      </xdr:nvCxnSpPr>
      <xdr:spPr>
        <a:xfrm>
          <a:off x="12990433" y="23824351"/>
          <a:ext cx="0" cy="1881768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331838</xdr:colOff>
      <xdr:row>127</xdr:row>
      <xdr:rowOff>168992</xdr:rowOff>
    </xdr:from>
    <xdr:to>
      <xdr:col>15</xdr:col>
      <xdr:colOff>682112</xdr:colOff>
      <xdr:row>127</xdr:row>
      <xdr:rowOff>168993</xdr:rowOff>
    </xdr:to>
    <xdr:cxnSp macro="">
      <xdr:nvCxnSpPr>
        <xdr:cNvPr id="38" name="Connecteur droit 37"/>
        <xdr:cNvCxnSpPr/>
      </xdr:nvCxnSpPr>
      <xdr:spPr>
        <a:xfrm flipH="1" flipV="1">
          <a:off x="12665177" y="24362492"/>
          <a:ext cx="350274" cy="1"/>
        </a:xfrm>
        <a:prstGeom prst="line">
          <a:avLst/>
        </a:prstGeom>
        <a:ln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230</xdr:row>
      <xdr:rowOff>149677</xdr:rowOff>
    </xdr:from>
    <xdr:to>
      <xdr:col>9</xdr:col>
      <xdr:colOff>149679</xdr:colOff>
      <xdr:row>262</xdr:row>
      <xdr:rowOff>117258</xdr:rowOff>
    </xdr:to>
    <xdr:pic>
      <xdr:nvPicPr>
        <xdr:cNvPr id="41" name="Image 40" descr="courbe flux density gauss vs frequency.jpg"/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0" y="43964677"/>
          <a:ext cx="7497536" cy="6063581"/>
        </a:xfrm>
        <a:prstGeom prst="rect">
          <a:avLst/>
        </a:prstGeom>
      </xdr:spPr>
    </xdr:pic>
    <xdr:clientData/>
  </xdr:twoCellAnchor>
  <xdr:twoCellAnchor>
    <xdr:from>
      <xdr:col>5</xdr:col>
      <xdr:colOff>386329</xdr:colOff>
      <xdr:row>234</xdr:row>
      <xdr:rowOff>24645</xdr:rowOff>
    </xdr:from>
    <xdr:to>
      <xdr:col>5</xdr:col>
      <xdr:colOff>386329</xdr:colOff>
      <xdr:row>260</xdr:row>
      <xdr:rowOff>24645</xdr:rowOff>
    </xdr:to>
    <xdr:cxnSp macro="">
      <xdr:nvCxnSpPr>
        <xdr:cNvPr id="42" name="Connecteur droit 41"/>
        <xdr:cNvCxnSpPr/>
      </xdr:nvCxnSpPr>
      <xdr:spPr>
        <a:xfrm>
          <a:off x="4694560" y="44601645"/>
          <a:ext cx="0" cy="4953000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571500</xdr:colOff>
      <xdr:row>247</xdr:row>
      <xdr:rowOff>102577</xdr:rowOff>
    </xdr:from>
    <xdr:to>
      <xdr:col>5</xdr:col>
      <xdr:colOff>630115</xdr:colOff>
      <xdr:row>247</xdr:row>
      <xdr:rowOff>102577</xdr:rowOff>
    </xdr:to>
    <xdr:cxnSp macro="">
      <xdr:nvCxnSpPr>
        <xdr:cNvPr id="44" name="Connecteur droit 43"/>
        <xdr:cNvCxnSpPr/>
      </xdr:nvCxnSpPr>
      <xdr:spPr>
        <a:xfrm>
          <a:off x="1333500" y="47156077"/>
          <a:ext cx="3604846" cy="0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S230"/>
  <sheetViews>
    <sheetView tabSelected="1" topLeftCell="A172" zoomScale="55" zoomScaleNormal="55" workbookViewId="0">
      <selection activeCell="C156" sqref="C156"/>
    </sheetView>
  </sheetViews>
  <sheetFormatPr baseColWidth="10" defaultRowHeight="15"/>
  <cols>
    <col min="2" max="2" width="15.7109375" customWidth="1"/>
    <col min="3" max="3" width="12.85546875" bestFit="1" customWidth="1"/>
    <col min="5" max="5" width="13.140625" customWidth="1"/>
    <col min="12" max="12" width="17.5703125" customWidth="1"/>
  </cols>
  <sheetData>
    <row r="2" spans="1:7">
      <c r="B2" s="9" t="s">
        <v>0</v>
      </c>
      <c r="C2" s="34" t="s">
        <v>9</v>
      </c>
      <c r="D2" s="35"/>
    </row>
    <row r="4" spans="1:7">
      <c r="B4" s="9" t="s">
        <v>1</v>
      </c>
      <c r="C4" s="3">
        <v>230</v>
      </c>
      <c r="D4" s="3">
        <v>400</v>
      </c>
      <c r="E4" s="2" t="s">
        <v>2</v>
      </c>
      <c r="F4" s="2" t="s">
        <v>4</v>
      </c>
    </row>
    <row r="5" spans="1:7">
      <c r="C5" s="33"/>
      <c r="D5" s="33"/>
      <c r="E5" s="2"/>
    </row>
    <row r="7" spans="1:7">
      <c r="B7" t="s">
        <v>14</v>
      </c>
      <c r="C7" s="3">
        <v>12</v>
      </c>
      <c r="D7" s="2" t="s">
        <v>7</v>
      </c>
      <c r="E7" s="3">
        <v>1.1000000000000001</v>
      </c>
      <c r="F7" s="5" t="s">
        <v>8</v>
      </c>
      <c r="G7" s="2" t="s">
        <v>4</v>
      </c>
    </row>
    <row r="8" spans="1:7">
      <c r="B8" s="4" t="s">
        <v>5</v>
      </c>
      <c r="C8" s="6"/>
      <c r="D8" s="2" t="s">
        <v>7</v>
      </c>
      <c r="E8" s="6"/>
      <c r="F8" s="5" t="s">
        <v>8</v>
      </c>
      <c r="G8" s="2" t="s">
        <v>4</v>
      </c>
    </row>
    <row r="9" spans="1:7">
      <c r="B9" s="4" t="s">
        <v>6</v>
      </c>
      <c r="C9" s="6"/>
      <c r="D9" s="2" t="s">
        <v>7</v>
      </c>
      <c r="E9" s="6"/>
      <c r="F9" s="5" t="s">
        <v>8</v>
      </c>
      <c r="G9" s="2" t="s">
        <v>4</v>
      </c>
    </row>
    <row r="10" spans="1:7">
      <c r="B10" s="4"/>
      <c r="G10" s="2"/>
    </row>
    <row r="11" spans="1:7">
      <c r="B11" s="15" t="s">
        <v>40</v>
      </c>
      <c r="C11" s="8">
        <v>132000</v>
      </c>
      <c r="D11" s="16" t="s">
        <v>3</v>
      </c>
      <c r="E11" s="4" t="s">
        <v>51</v>
      </c>
      <c r="F11" s="8">
        <v>50</v>
      </c>
      <c r="G11" s="2" t="s">
        <v>3</v>
      </c>
    </row>
    <row r="12" spans="1:7">
      <c r="B12" s="17" t="s">
        <v>41</v>
      </c>
      <c r="C12" s="8">
        <v>0.8</v>
      </c>
    </row>
    <row r="14" spans="1:7">
      <c r="A14" s="25" t="s">
        <v>12</v>
      </c>
      <c r="B14" s="26"/>
      <c r="C14" s="26"/>
      <c r="D14" s="26"/>
      <c r="E14" s="27"/>
    </row>
    <row r="16" spans="1:7">
      <c r="B16" s="4" t="s">
        <v>10</v>
      </c>
      <c r="C16" s="3">
        <f>C7*E7+C8*E8+C9*E9</f>
        <v>13.200000000000001</v>
      </c>
      <c r="D16" s="2" t="s">
        <v>11</v>
      </c>
    </row>
    <row r="18" spans="1:7">
      <c r="A18" s="25" t="s">
        <v>13</v>
      </c>
      <c r="B18" s="26"/>
      <c r="C18" s="26"/>
      <c r="D18" s="26"/>
      <c r="E18" s="27"/>
    </row>
    <row r="20" spans="1:7">
      <c r="B20" s="4" t="s">
        <v>15</v>
      </c>
      <c r="C20" s="8">
        <f>C16/C12</f>
        <v>16.5</v>
      </c>
      <c r="D20" s="2" t="s">
        <v>11</v>
      </c>
      <c r="F20" s="11" t="s">
        <v>22</v>
      </c>
    </row>
    <row r="22" spans="1:7">
      <c r="A22" s="25" t="s">
        <v>16</v>
      </c>
      <c r="B22" s="26"/>
      <c r="C22" s="26"/>
      <c r="D22" s="26"/>
      <c r="E22" s="27"/>
    </row>
    <row r="24" spans="1:7">
      <c r="D24" s="10">
        <f>C4*0.9*SQRT(2)</f>
        <v>292.74220741123071</v>
      </c>
      <c r="E24" t="s">
        <v>18</v>
      </c>
      <c r="F24" s="11" t="s">
        <v>19</v>
      </c>
      <c r="G24" s="11"/>
    </row>
    <row r="25" spans="1:7">
      <c r="B25">
        <f>C4</f>
        <v>230</v>
      </c>
      <c r="C25" t="s">
        <v>17</v>
      </c>
      <c r="F25" s="11"/>
      <c r="G25" s="11" t="s">
        <v>21</v>
      </c>
    </row>
    <row r="26" spans="1:7">
      <c r="D26" s="10">
        <f>C4*1.1*SQRT(2)</f>
        <v>357.79603128039309</v>
      </c>
      <c r="E26" t="s">
        <v>17</v>
      </c>
      <c r="F26" s="11" t="s">
        <v>20</v>
      </c>
      <c r="G26" s="11"/>
    </row>
    <row r="29" spans="1:7">
      <c r="D29" s="10">
        <f>D4*0.9*SQRT(2)</f>
        <v>509.11688245431424</v>
      </c>
      <c r="E29" t="s">
        <v>17</v>
      </c>
      <c r="F29" s="11" t="s">
        <v>24</v>
      </c>
      <c r="G29" s="11"/>
    </row>
    <row r="30" spans="1:7">
      <c r="B30">
        <f>D4</f>
        <v>400</v>
      </c>
      <c r="F30" s="11" t="s">
        <v>26</v>
      </c>
      <c r="G30" s="11" t="s">
        <v>21</v>
      </c>
    </row>
    <row r="31" spans="1:7">
      <c r="D31" s="10">
        <f>D4*1.1*SQRT(2)</f>
        <v>622.25396744416196</v>
      </c>
      <c r="E31" t="s">
        <v>23</v>
      </c>
      <c r="F31" s="11" t="s">
        <v>25</v>
      </c>
      <c r="G31" s="11"/>
    </row>
    <row r="34" spans="1:6">
      <c r="A34" s="25" t="s">
        <v>27</v>
      </c>
      <c r="B34" s="26"/>
      <c r="C34" s="26"/>
      <c r="D34" s="26"/>
      <c r="E34" s="27"/>
    </row>
    <row r="36" spans="1:6">
      <c r="B36" s="4" t="s">
        <v>29</v>
      </c>
      <c r="C36" s="13">
        <f>C20/D24</f>
        <v>5.6363584007623348E-2</v>
      </c>
      <c r="D36" s="2" t="s">
        <v>8</v>
      </c>
      <c r="F36" s="11" t="s">
        <v>30</v>
      </c>
    </row>
    <row r="37" spans="1:6">
      <c r="F37" s="11"/>
    </row>
    <row r="38" spans="1:6">
      <c r="A38" t="s">
        <v>26</v>
      </c>
      <c r="B38" s="4" t="s">
        <v>28</v>
      </c>
      <c r="C38" s="12">
        <f>C20/D31</f>
        <v>2.6516504294495525E-2</v>
      </c>
      <c r="D38" s="2" t="s">
        <v>8</v>
      </c>
      <c r="F38" s="11" t="s">
        <v>31</v>
      </c>
    </row>
    <row r="40" spans="1:6">
      <c r="A40" s="25" t="s">
        <v>32</v>
      </c>
      <c r="B40" s="26"/>
      <c r="C40" s="26"/>
      <c r="D40" s="26"/>
      <c r="E40" s="27"/>
    </row>
    <row r="42" spans="1:6">
      <c r="B42" s="4" t="s">
        <v>33</v>
      </c>
      <c r="C42" s="13">
        <f>(5.5*C16)/(D24)</f>
        <v>0.24799976963354275</v>
      </c>
      <c r="D42" s="2" t="s">
        <v>8</v>
      </c>
      <c r="F42" s="11" t="s">
        <v>34</v>
      </c>
    </row>
    <row r="44" spans="1:6">
      <c r="A44" s="25" t="s">
        <v>35</v>
      </c>
      <c r="B44" s="26"/>
      <c r="C44" s="26"/>
      <c r="D44" s="26"/>
      <c r="E44" s="27"/>
    </row>
    <row r="46" spans="1:6">
      <c r="B46" s="4" t="s">
        <v>36</v>
      </c>
      <c r="C46" s="14">
        <f>D24/(C7+1)</f>
        <v>22.518631339325438</v>
      </c>
      <c r="F46" s="11" t="s">
        <v>37</v>
      </c>
    </row>
    <row r="48" spans="1:6">
      <c r="A48" s="25" t="s">
        <v>38</v>
      </c>
      <c r="B48" s="26"/>
      <c r="C48" s="26"/>
      <c r="D48" s="26"/>
      <c r="E48" s="27"/>
    </row>
    <row r="50" spans="1:10">
      <c r="B50" s="4" t="s">
        <v>39</v>
      </c>
      <c r="C50" s="12">
        <f>C12*((D24)*(D24))/(8*C16*C11)</f>
        <v>4.9183884297520665E-3</v>
      </c>
      <c r="D50" s="2" t="s">
        <v>42</v>
      </c>
      <c r="E50" t="s">
        <v>26</v>
      </c>
      <c r="F50" s="11" t="s">
        <v>43</v>
      </c>
    </row>
    <row r="52" spans="1:10">
      <c r="A52" s="30" t="s">
        <v>44</v>
      </c>
      <c r="B52" s="31"/>
      <c r="C52" s="31"/>
      <c r="D52" s="31"/>
      <c r="E52" s="32"/>
    </row>
    <row r="54" spans="1:10">
      <c r="B54" s="4" t="s">
        <v>45</v>
      </c>
      <c r="C54" s="14">
        <f>(D24)/(2*C50*C11)</f>
        <v>0.22545433603049342</v>
      </c>
      <c r="D54" s="1" t="s">
        <v>8</v>
      </c>
      <c r="F54" s="11" t="s">
        <v>48</v>
      </c>
    </row>
    <row r="55" spans="1:10">
      <c r="F55" s="11" t="s">
        <v>46</v>
      </c>
    </row>
    <row r="56" spans="1:10">
      <c r="F56" s="11" t="s">
        <v>47</v>
      </c>
    </row>
    <row r="58" spans="1:10">
      <c r="A58" s="25" t="s">
        <v>49</v>
      </c>
      <c r="B58" s="26"/>
      <c r="C58" s="26"/>
      <c r="D58" s="26"/>
      <c r="E58" s="27"/>
    </row>
    <row r="60" spans="1:10">
      <c r="B60" s="4" t="s">
        <v>50</v>
      </c>
      <c r="C60" s="3">
        <f>C16/(C12*F11)</f>
        <v>0.33</v>
      </c>
      <c r="D60" s="2" t="s">
        <v>59</v>
      </c>
      <c r="F60" s="11" t="s">
        <v>52</v>
      </c>
    </row>
    <row r="62" spans="1:10">
      <c r="B62" s="4" t="s">
        <v>53</v>
      </c>
      <c r="C62" s="21">
        <f>C60/(D24*D24-I63*I63)</f>
        <v>7.7014632780228215E-6</v>
      </c>
      <c r="D62" s="2" t="s">
        <v>60</v>
      </c>
      <c r="F62" s="11" t="s">
        <v>54</v>
      </c>
    </row>
    <row r="63" spans="1:10">
      <c r="F63" s="11" t="s">
        <v>55</v>
      </c>
      <c r="G63" s="11"/>
      <c r="H63" s="11"/>
      <c r="I63" s="19">
        <v>207</v>
      </c>
      <c r="J63" s="18" t="s">
        <v>56</v>
      </c>
    </row>
    <row r="64" spans="1:10">
      <c r="F64" s="11"/>
      <c r="G64" s="11"/>
      <c r="H64" s="11" t="s">
        <v>57</v>
      </c>
      <c r="I64" s="20">
        <v>293</v>
      </c>
      <c r="J64" s="18" t="s">
        <v>17</v>
      </c>
    </row>
    <row r="65" spans="1:10">
      <c r="A65" s="28" t="s">
        <v>58</v>
      </c>
      <c r="B65" s="28"/>
      <c r="C65" s="28"/>
      <c r="D65" s="21">
        <v>8.1999999999999994E-6</v>
      </c>
      <c r="E65" s="2" t="s">
        <v>60</v>
      </c>
    </row>
    <row r="67" spans="1:10">
      <c r="A67" t="s">
        <v>61</v>
      </c>
    </row>
    <row r="69" spans="1:10">
      <c r="B69" s="4" t="s">
        <v>70</v>
      </c>
      <c r="C69" s="21">
        <v>1.8E-5</v>
      </c>
      <c r="D69" s="2" t="s">
        <v>60</v>
      </c>
      <c r="E69" t="s">
        <v>62</v>
      </c>
    </row>
    <row r="71" spans="1:10">
      <c r="A71" s="29" t="s">
        <v>63</v>
      </c>
      <c r="B71" s="29"/>
      <c r="C71" s="29"/>
      <c r="D71" s="29"/>
      <c r="E71" s="29"/>
      <c r="F71" s="29"/>
      <c r="G71" s="29"/>
      <c r="H71" s="29"/>
      <c r="I71" s="29"/>
      <c r="J71" s="29"/>
    </row>
    <row r="72" spans="1:10">
      <c r="A72" s="29"/>
      <c r="B72" s="29"/>
      <c r="C72" s="29"/>
      <c r="D72" s="29"/>
      <c r="E72" s="29"/>
      <c r="F72" s="29"/>
      <c r="G72" s="29"/>
      <c r="H72" s="29"/>
      <c r="I72" s="29"/>
      <c r="J72" s="29"/>
    </row>
    <row r="74" spans="1:10">
      <c r="A74" s="25" t="s">
        <v>69</v>
      </c>
      <c r="B74" s="26"/>
      <c r="C74" s="26"/>
      <c r="D74" s="26"/>
      <c r="E74" s="27"/>
    </row>
    <row r="76" spans="1:10">
      <c r="B76" s="4" t="s">
        <v>64</v>
      </c>
      <c r="C76" s="3">
        <f>(ACOS(I63/D24))/(2*PI()*F11)</f>
        <v>2.5000000000000001E-3</v>
      </c>
      <c r="D76" s="2" t="s">
        <v>65</v>
      </c>
      <c r="F76" s="11" t="s">
        <v>66</v>
      </c>
    </row>
    <row r="78" spans="1:10">
      <c r="A78" s="25" t="s">
        <v>67</v>
      </c>
      <c r="B78" s="26"/>
      <c r="C78" s="26"/>
      <c r="D78" s="26"/>
      <c r="E78" s="27"/>
    </row>
    <row r="80" spans="1:10">
      <c r="B80" s="4" t="s">
        <v>68</v>
      </c>
      <c r="C80" s="13">
        <f>((C69/2)*(I64-I63))/(C76)</f>
        <v>0.30960000000000004</v>
      </c>
      <c r="D80" s="2" t="s">
        <v>8</v>
      </c>
      <c r="F80" s="11" t="s">
        <v>71</v>
      </c>
    </row>
    <row r="82" spans="1:10">
      <c r="A82" s="25" t="s">
        <v>72</v>
      </c>
      <c r="B82" s="26"/>
      <c r="C82" s="26"/>
      <c r="D82" s="26"/>
      <c r="E82" s="27"/>
    </row>
    <row r="84" spans="1:10">
      <c r="B84" s="4" t="s">
        <v>73</v>
      </c>
      <c r="C84" s="13">
        <f>C80*SQRT((C76*2*F11)-((C76*2*F11)*(C76*2*F11)))</f>
        <v>0.13406073250583112</v>
      </c>
      <c r="D84" s="2" t="s">
        <v>8</v>
      </c>
      <c r="F84" s="11" t="s">
        <v>74</v>
      </c>
    </row>
    <row r="86" spans="1:10">
      <c r="A86" t="s">
        <v>76</v>
      </c>
    </row>
    <row r="88" spans="1:10">
      <c r="A88" s="25" t="s">
        <v>75</v>
      </c>
      <c r="B88" s="26"/>
      <c r="C88" s="26"/>
      <c r="D88" s="26"/>
      <c r="E88" s="27"/>
    </row>
    <row r="90" spans="1:10">
      <c r="B90" s="4" t="s">
        <v>45</v>
      </c>
      <c r="C90" s="14">
        <f>C54</f>
        <v>0.22545433603049342</v>
      </c>
      <c r="D90" s="2" t="s">
        <v>8</v>
      </c>
      <c r="E90" s="4" t="s">
        <v>68</v>
      </c>
      <c r="F90" s="13">
        <f>C80</f>
        <v>0.30960000000000004</v>
      </c>
      <c r="G90" s="2" t="s">
        <v>77</v>
      </c>
      <c r="H90" s="2" t="s">
        <v>78</v>
      </c>
      <c r="I90" s="3">
        <f>C76</f>
        <v>2.5000000000000001E-3</v>
      </c>
      <c r="J90" s="16" t="s">
        <v>65</v>
      </c>
    </row>
    <row r="92" spans="1:10">
      <c r="A92" t="s">
        <v>79</v>
      </c>
    </row>
    <row r="94" spans="1:10">
      <c r="B94" s="4" t="s">
        <v>80</v>
      </c>
      <c r="C94" s="14">
        <f>2*C90</f>
        <v>0.45090867206098684</v>
      </c>
      <c r="D94" s="2" t="s">
        <v>8</v>
      </c>
      <c r="F94" s="11" t="s">
        <v>93</v>
      </c>
    </row>
    <row r="96" spans="1:10">
      <c r="A96" t="s">
        <v>81</v>
      </c>
    </row>
    <row r="98" spans="1:6">
      <c r="B98" s="4" t="s">
        <v>82</v>
      </c>
      <c r="C98" s="22">
        <f>D31</f>
        <v>622.25396744416196</v>
      </c>
      <c r="D98" s="1" t="s">
        <v>17</v>
      </c>
      <c r="F98" s="11" t="s">
        <v>94</v>
      </c>
    </row>
    <row r="100" spans="1:6">
      <c r="A100" s="25" t="s">
        <v>83</v>
      </c>
      <c r="B100" s="26"/>
      <c r="C100" s="26"/>
      <c r="D100" s="26"/>
      <c r="E100" s="27"/>
    </row>
    <row r="102" spans="1:6">
      <c r="A102" t="s">
        <v>98</v>
      </c>
    </row>
    <row r="104" spans="1:6">
      <c r="A104" t="s">
        <v>95</v>
      </c>
      <c r="C104" s="3">
        <f>C7</f>
        <v>12</v>
      </c>
      <c r="D104" s="2" t="s">
        <v>17</v>
      </c>
    </row>
    <row r="106" spans="1:6">
      <c r="B106" s="4" t="s">
        <v>36</v>
      </c>
      <c r="C106" s="14">
        <f>D24/(C7+1)</f>
        <v>22.518631339325438</v>
      </c>
      <c r="F106" s="11" t="s">
        <v>88</v>
      </c>
    </row>
    <row r="108" spans="1:6">
      <c r="A108" t="s">
        <v>86</v>
      </c>
      <c r="C108" s="3">
        <f>C8</f>
        <v>0</v>
      </c>
      <c r="D108" s="2" t="s">
        <v>17</v>
      </c>
    </row>
    <row r="110" spans="1:6">
      <c r="B110" s="4" t="s">
        <v>84</v>
      </c>
      <c r="C110" s="14">
        <f>D24/(C8+1)</f>
        <v>292.74220741123071</v>
      </c>
      <c r="D110" s="2"/>
      <c r="F110" s="11" t="s">
        <v>89</v>
      </c>
    </row>
    <row r="112" spans="1:6">
      <c r="A112" t="s">
        <v>87</v>
      </c>
      <c r="C112" s="3">
        <v>12</v>
      </c>
      <c r="D112" s="2" t="s">
        <v>17</v>
      </c>
    </row>
    <row r="114" spans="1:11">
      <c r="B114" s="4" t="s">
        <v>85</v>
      </c>
      <c r="C114" s="23">
        <f>D24/(C112+1)</f>
        <v>22.518631339325438</v>
      </c>
      <c r="F114" s="11" t="s">
        <v>90</v>
      </c>
    </row>
    <row r="116" spans="1:11">
      <c r="A116" t="s">
        <v>91</v>
      </c>
    </row>
    <row r="118" spans="1:11">
      <c r="B118" s="4" t="s">
        <v>92</v>
      </c>
      <c r="C118" s="22">
        <f>D31+C114*(C112+1)</f>
        <v>914.99617485539261</v>
      </c>
      <c r="D118" s="2" t="s">
        <v>17</v>
      </c>
      <c r="F118" s="11" t="s">
        <v>96</v>
      </c>
    </row>
    <row r="120" spans="1:11">
      <c r="A120" t="s">
        <v>97</v>
      </c>
    </row>
    <row r="122" spans="1:11">
      <c r="B122" s="4" t="s">
        <v>99</v>
      </c>
      <c r="C122" s="14">
        <f>C50*1000*(C90*C90)</f>
        <v>0.25</v>
      </c>
      <c r="D122" s="2" t="s">
        <v>100</v>
      </c>
    </row>
    <row r="124" spans="1:11">
      <c r="A124" t="s">
        <v>101</v>
      </c>
    </row>
    <row r="126" spans="1:11">
      <c r="A126" t="s">
        <v>102</v>
      </c>
      <c r="K126" t="s">
        <v>148</v>
      </c>
    </row>
    <row r="128" spans="1:11">
      <c r="A128" t="s">
        <v>103</v>
      </c>
      <c r="K128" t="s">
        <v>103</v>
      </c>
    </row>
    <row r="130" spans="1:13">
      <c r="A130" s="4" t="s">
        <v>107</v>
      </c>
      <c r="B130" s="8">
        <v>1150</v>
      </c>
      <c r="C130" s="1" t="s">
        <v>113</v>
      </c>
      <c r="K130" s="4" t="s">
        <v>107</v>
      </c>
      <c r="L130" s="8">
        <v>950</v>
      </c>
      <c r="M130" s="7" t="s">
        <v>113</v>
      </c>
    </row>
    <row r="131" spans="1:13">
      <c r="A131" s="4" t="s">
        <v>108</v>
      </c>
      <c r="B131" s="8">
        <v>78.599999999999994</v>
      </c>
      <c r="C131" s="1" t="s">
        <v>114</v>
      </c>
      <c r="K131" s="4" t="s">
        <v>108</v>
      </c>
      <c r="L131" s="8">
        <v>64</v>
      </c>
      <c r="M131" s="7" t="s">
        <v>114</v>
      </c>
    </row>
    <row r="132" spans="1:13">
      <c r="A132" s="4" t="s">
        <v>109</v>
      </c>
      <c r="B132" s="8">
        <v>97.1</v>
      </c>
      <c r="C132" s="1" t="s">
        <v>115</v>
      </c>
      <c r="K132" s="4" t="s">
        <v>109</v>
      </c>
      <c r="L132" s="8">
        <v>81.400000000000006</v>
      </c>
      <c r="M132" s="7" t="s">
        <v>115</v>
      </c>
    </row>
    <row r="133" spans="1:13">
      <c r="A133" s="4" t="s">
        <v>119</v>
      </c>
      <c r="B133" s="8">
        <v>91.6</v>
      </c>
      <c r="C133" s="1" t="s">
        <v>115</v>
      </c>
      <c r="K133" s="4" t="s">
        <v>119</v>
      </c>
      <c r="L133" s="8">
        <v>77</v>
      </c>
      <c r="M133" s="7" t="s">
        <v>115</v>
      </c>
    </row>
    <row r="134" spans="1:13">
      <c r="A134" s="4" t="s">
        <v>110</v>
      </c>
      <c r="B134" s="8">
        <v>7.64</v>
      </c>
      <c r="C134" s="1" t="s">
        <v>116</v>
      </c>
      <c r="K134" s="4" t="s">
        <v>110</v>
      </c>
      <c r="L134" s="8">
        <v>5.26</v>
      </c>
      <c r="M134" s="7" t="s">
        <v>116</v>
      </c>
    </row>
    <row r="135" spans="1:13">
      <c r="A135" s="4" t="s">
        <v>111</v>
      </c>
      <c r="B135" s="8">
        <v>1.19</v>
      </c>
      <c r="C135" s="1" t="s">
        <v>117</v>
      </c>
      <c r="K135" s="4" t="s">
        <v>111</v>
      </c>
      <c r="L135" s="8">
        <v>0.53200000000000003</v>
      </c>
      <c r="M135" s="7" t="s">
        <v>117</v>
      </c>
    </row>
    <row r="136" spans="1:13">
      <c r="A136" s="4" t="s">
        <v>112</v>
      </c>
      <c r="B136" s="8">
        <v>40</v>
      </c>
      <c r="C136" s="1" t="s">
        <v>118</v>
      </c>
      <c r="K136" s="4" t="s">
        <v>112</v>
      </c>
      <c r="L136" s="8">
        <v>28</v>
      </c>
      <c r="M136" s="7" t="s">
        <v>118</v>
      </c>
    </row>
    <row r="137" spans="1:13">
      <c r="B137" s="1"/>
      <c r="C137" s="1"/>
      <c r="L137" s="7"/>
      <c r="M137" s="7"/>
    </row>
    <row r="139" spans="1:13">
      <c r="A139" t="s">
        <v>104</v>
      </c>
      <c r="K139" t="s">
        <v>104</v>
      </c>
    </row>
    <row r="141" spans="1:13">
      <c r="A141" s="4" t="s">
        <v>120</v>
      </c>
      <c r="B141" s="3">
        <v>35</v>
      </c>
      <c r="C141" s="2" t="s">
        <v>155</v>
      </c>
      <c r="K141" s="4" t="s">
        <v>120</v>
      </c>
      <c r="L141" s="3">
        <v>28.55</v>
      </c>
      <c r="M141" s="2" t="s">
        <v>149</v>
      </c>
    </row>
    <row r="142" spans="1:13">
      <c r="A142" s="4" t="s">
        <v>121</v>
      </c>
      <c r="B142" s="3">
        <v>17.3</v>
      </c>
      <c r="C142" s="2" t="s">
        <v>153</v>
      </c>
      <c r="K142" s="4" t="s">
        <v>121</v>
      </c>
      <c r="L142" s="3">
        <v>14</v>
      </c>
      <c r="M142" s="2" t="s">
        <v>153</v>
      </c>
    </row>
    <row r="143" spans="1:13">
      <c r="A143" s="4" t="s">
        <v>122</v>
      </c>
      <c r="B143" s="3">
        <v>11.1</v>
      </c>
      <c r="C143" s="2" t="s">
        <v>156</v>
      </c>
      <c r="K143" s="4" t="s">
        <v>122</v>
      </c>
      <c r="L143" s="3">
        <v>11.4</v>
      </c>
      <c r="M143" s="2" t="s">
        <v>152</v>
      </c>
    </row>
    <row r="144" spans="1:13">
      <c r="A144" s="4" t="s">
        <v>123</v>
      </c>
      <c r="B144" s="3">
        <v>11.8</v>
      </c>
      <c r="C144" s="2" t="s">
        <v>157</v>
      </c>
      <c r="K144" s="4" t="s">
        <v>123</v>
      </c>
      <c r="L144" s="3">
        <v>9.75</v>
      </c>
      <c r="M144" s="2" t="s">
        <v>151</v>
      </c>
    </row>
    <row r="145" spans="1:16">
      <c r="A145" s="4" t="s">
        <v>124</v>
      </c>
      <c r="B145" s="3">
        <v>25.6</v>
      </c>
      <c r="C145" s="2" t="s">
        <v>158</v>
      </c>
      <c r="K145" s="4" t="s">
        <v>124</v>
      </c>
      <c r="L145" s="3">
        <v>21.75</v>
      </c>
      <c r="M145" s="2" t="s">
        <v>150</v>
      </c>
    </row>
    <row r="146" spans="1:16">
      <c r="A146" s="4" t="s">
        <v>125</v>
      </c>
      <c r="B146" s="3">
        <v>11.1</v>
      </c>
      <c r="C146" s="2" t="s">
        <v>156</v>
      </c>
      <c r="K146" s="4" t="s">
        <v>125</v>
      </c>
      <c r="L146" s="3">
        <v>9.9</v>
      </c>
      <c r="M146" s="2" t="s">
        <v>154</v>
      </c>
    </row>
    <row r="153" spans="1:16">
      <c r="A153" t="s">
        <v>105</v>
      </c>
      <c r="K153" t="s">
        <v>105</v>
      </c>
    </row>
    <row r="155" spans="1:16">
      <c r="A155" t="s">
        <v>26</v>
      </c>
      <c r="B155" s="4" t="s">
        <v>106</v>
      </c>
      <c r="C155" s="24">
        <f>1000*SQRT((C50*1000)/(1150))</f>
        <v>65.397702590627986</v>
      </c>
      <c r="D155" s="2" t="s">
        <v>128</v>
      </c>
      <c r="F155" s="11" t="s">
        <v>126</v>
      </c>
      <c r="K155" t="s">
        <v>26</v>
      </c>
      <c r="L155" s="4" t="s">
        <v>106</v>
      </c>
      <c r="M155" s="24">
        <f>1000*SQRT((C50*1000)/(L130))</f>
        <v>71.953116532130736</v>
      </c>
      <c r="N155" s="2" t="s">
        <v>128</v>
      </c>
      <c r="P155" s="11" t="s">
        <v>126</v>
      </c>
    </row>
    <row r="156" spans="1:16">
      <c r="B156" s="4" t="s">
        <v>127</v>
      </c>
      <c r="C156" s="3">
        <v>66</v>
      </c>
      <c r="D156" s="2" t="s">
        <v>128</v>
      </c>
      <c r="L156" s="4" t="s">
        <v>127</v>
      </c>
      <c r="M156" s="3">
        <v>72</v>
      </c>
      <c r="N156" s="2" t="s">
        <v>128</v>
      </c>
    </row>
    <row r="158" spans="1:16">
      <c r="A158" t="s">
        <v>129</v>
      </c>
      <c r="K158" t="s">
        <v>129</v>
      </c>
    </row>
    <row r="160" spans="1:16">
      <c r="A160" t="s">
        <v>95</v>
      </c>
      <c r="C160" s="3">
        <f>C7</f>
        <v>12</v>
      </c>
      <c r="D160" s="2" t="s">
        <v>17</v>
      </c>
      <c r="K160" t="s">
        <v>95</v>
      </c>
      <c r="M160" s="3">
        <f>C7</f>
        <v>12</v>
      </c>
      <c r="N160" s="2" t="s">
        <v>17</v>
      </c>
    </row>
    <row r="162" spans="1:17">
      <c r="B162" s="4" t="s">
        <v>36</v>
      </c>
      <c r="C162" s="14">
        <f>D24/(C7+1)</f>
        <v>22.518631339325438</v>
      </c>
      <c r="D162" t="s">
        <v>130</v>
      </c>
      <c r="E162" s="4" t="s">
        <v>131</v>
      </c>
      <c r="F162" s="14">
        <f>C156/C162</f>
        <v>2.9309063683964141</v>
      </c>
      <c r="G162" s="2" t="s">
        <v>128</v>
      </c>
      <c r="L162" s="4" t="s">
        <v>36</v>
      </c>
      <c r="M162" s="14">
        <f>D24/(C7+1)</f>
        <v>22.518631339325438</v>
      </c>
      <c r="N162" t="s">
        <v>130</v>
      </c>
      <c r="O162" s="4" t="s">
        <v>131</v>
      </c>
      <c r="P162" s="14">
        <f>M156/M162</f>
        <v>3.1973524018869974</v>
      </c>
      <c r="Q162" s="2" t="s">
        <v>128</v>
      </c>
    </row>
    <row r="163" spans="1:17">
      <c r="E163" s="4" t="s">
        <v>131</v>
      </c>
      <c r="F163" s="3">
        <v>3</v>
      </c>
      <c r="G163" s="1" t="s">
        <v>128</v>
      </c>
      <c r="O163" s="4" t="s">
        <v>131</v>
      </c>
      <c r="P163" s="3">
        <v>3</v>
      </c>
      <c r="Q163" s="7" t="s">
        <v>128</v>
      </c>
    </row>
    <row r="166" spans="1:17">
      <c r="A166" t="s">
        <v>132</v>
      </c>
      <c r="C166" s="3">
        <f>C8</f>
        <v>0</v>
      </c>
      <c r="D166" s="2" t="s">
        <v>17</v>
      </c>
      <c r="K166" t="s">
        <v>132</v>
      </c>
      <c r="M166" s="3">
        <f>C8</f>
        <v>0</v>
      </c>
      <c r="N166" s="2" t="s">
        <v>17</v>
      </c>
    </row>
    <row r="168" spans="1:17">
      <c r="B168" s="4" t="s">
        <v>84</v>
      </c>
      <c r="C168" s="14">
        <f>D24/(C8+1)</f>
        <v>292.74220741123071</v>
      </c>
      <c r="D168" t="s">
        <v>130</v>
      </c>
      <c r="E168" s="4" t="s">
        <v>134</v>
      </c>
      <c r="F168" s="14">
        <f>C156/C168</f>
        <v>0.22545433603049339</v>
      </c>
      <c r="G168" s="2" t="s">
        <v>128</v>
      </c>
      <c r="L168" s="4" t="s">
        <v>84</v>
      </c>
      <c r="M168" s="14">
        <f>D24/(C8+1)</f>
        <v>292.74220741123071</v>
      </c>
      <c r="N168" t="s">
        <v>130</v>
      </c>
      <c r="O168" s="4" t="s">
        <v>134</v>
      </c>
      <c r="P168" s="14">
        <f>M156/M168</f>
        <v>0.24595018476053823</v>
      </c>
      <c r="Q168" s="2" t="s">
        <v>128</v>
      </c>
    </row>
    <row r="169" spans="1:17">
      <c r="E169" s="4" t="s">
        <v>134</v>
      </c>
      <c r="F169" s="3">
        <v>0</v>
      </c>
      <c r="G169" s="1" t="s">
        <v>128</v>
      </c>
      <c r="O169" s="4" t="s">
        <v>134</v>
      </c>
      <c r="P169" s="3">
        <v>0</v>
      </c>
      <c r="Q169" s="7" t="s">
        <v>128</v>
      </c>
    </row>
    <row r="171" spans="1:17">
      <c r="A171" t="s">
        <v>133</v>
      </c>
      <c r="C171" s="3">
        <f>C112</f>
        <v>12</v>
      </c>
      <c r="D171" s="2" t="s">
        <v>17</v>
      </c>
      <c r="K171" t="s">
        <v>133</v>
      </c>
      <c r="M171" s="3">
        <f>C112</f>
        <v>12</v>
      </c>
      <c r="N171" s="2" t="s">
        <v>17</v>
      </c>
    </row>
    <row r="173" spans="1:17">
      <c r="B173" s="4" t="s">
        <v>85</v>
      </c>
      <c r="C173" s="14">
        <f>D24/(C112+1)</f>
        <v>22.518631339325438</v>
      </c>
      <c r="D173" t="s">
        <v>130</v>
      </c>
      <c r="E173" s="4" t="s">
        <v>135</v>
      </c>
      <c r="F173" s="14">
        <f>C156/C173</f>
        <v>2.9309063683964141</v>
      </c>
      <c r="G173" s="2" t="s">
        <v>128</v>
      </c>
      <c r="L173" s="4" t="s">
        <v>85</v>
      </c>
      <c r="M173" s="14">
        <f>D24/(C112+1)</f>
        <v>22.518631339325438</v>
      </c>
      <c r="N173" t="s">
        <v>130</v>
      </c>
      <c r="O173" s="4" t="s">
        <v>135</v>
      </c>
      <c r="P173" s="14">
        <f>M156/M173</f>
        <v>3.1973524018869974</v>
      </c>
      <c r="Q173" s="2" t="s">
        <v>128</v>
      </c>
    </row>
    <row r="174" spans="1:17">
      <c r="E174" s="4" t="s">
        <v>135</v>
      </c>
      <c r="F174" s="3">
        <v>3</v>
      </c>
      <c r="G174" s="1" t="s">
        <v>128</v>
      </c>
      <c r="O174" s="4" t="s">
        <v>135</v>
      </c>
      <c r="P174" s="3">
        <v>3</v>
      </c>
      <c r="Q174" s="7" t="s">
        <v>128</v>
      </c>
    </row>
    <row r="176" spans="1:17">
      <c r="A176" t="s">
        <v>136</v>
      </c>
      <c r="K176" t="s">
        <v>136</v>
      </c>
    </row>
    <row r="178" spans="1:19">
      <c r="B178" s="36" t="s">
        <v>137</v>
      </c>
      <c r="C178" s="24">
        <f>(B130*(B131/10))/(4*PI()*(B132/100))</f>
        <v>740.78348640970239</v>
      </c>
      <c r="F178" s="37" t="s">
        <v>138</v>
      </c>
      <c r="L178" s="36" t="s">
        <v>137</v>
      </c>
      <c r="M178" s="24">
        <f>(L130*(L131/10))/(4*PI()*(L132/100))</f>
        <v>594.38701105572704</v>
      </c>
      <c r="P178" s="37" t="s">
        <v>138</v>
      </c>
    </row>
    <row r="180" spans="1:19">
      <c r="A180" t="s">
        <v>146</v>
      </c>
      <c r="K180" t="s">
        <v>146</v>
      </c>
    </row>
    <row r="182" spans="1:19">
      <c r="C182" s="3">
        <v>2.25</v>
      </c>
      <c r="D182" s="2" t="s">
        <v>139</v>
      </c>
      <c r="E182" s="2" t="s">
        <v>141</v>
      </c>
      <c r="F182" s="4" t="s">
        <v>142</v>
      </c>
      <c r="G182" s="3">
        <f>0.8*2.25*7.86</f>
        <v>14.148000000000001</v>
      </c>
      <c r="H182" s="16" t="s">
        <v>143</v>
      </c>
      <c r="I182" s="38" t="s">
        <v>144</v>
      </c>
      <c r="M182" s="3">
        <v>3.4</v>
      </c>
      <c r="N182" s="2" t="s">
        <v>139</v>
      </c>
      <c r="O182" s="2" t="s">
        <v>141</v>
      </c>
      <c r="P182" s="4" t="s">
        <v>142</v>
      </c>
      <c r="Q182" s="3">
        <f>0.8*M182*(L131/10)</f>
        <v>17.408000000000001</v>
      </c>
      <c r="R182" s="16" t="s">
        <v>143</v>
      </c>
      <c r="S182" s="38" t="s">
        <v>144</v>
      </c>
    </row>
    <row r="183" spans="1:19">
      <c r="C183" s="3">
        <v>1.8</v>
      </c>
      <c r="D183" s="2" t="s">
        <v>140</v>
      </c>
      <c r="E183" s="2" t="s">
        <v>141</v>
      </c>
      <c r="F183" s="4" t="s">
        <v>142</v>
      </c>
      <c r="G183" s="3">
        <f>1.8*7.86</f>
        <v>14.148000000000001</v>
      </c>
      <c r="H183" s="16" t="s">
        <v>143</v>
      </c>
      <c r="I183" s="38" t="s">
        <v>145</v>
      </c>
      <c r="M183" s="3">
        <v>2.7</v>
      </c>
      <c r="N183" s="2" t="s">
        <v>140</v>
      </c>
      <c r="O183" s="2" t="s">
        <v>141</v>
      </c>
      <c r="P183" s="4" t="s">
        <v>142</v>
      </c>
      <c r="Q183" s="3">
        <f>M183*L131/10</f>
        <v>17.28</v>
      </c>
      <c r="R183" s="16" t="s">
        <v>143</v>
      </c>
      <c r="S183" s="38" t="s">
        <v>145</v>
      </c>
    </row>
    <row r="219" spans="1:14">
      <c r="A219" t="s">
        <v>159</v>
      </c>
      <c r="K219" t="s">
        <v>159</v>
      </c>
    </row>
    <row r="221" spans="1:14">
      <c r="B221" s="4" t="s">
        <v>160</v>
      </c>
      <c r="C221" s="14">
        <f>(0.4*PI()*C156*C54)/(B131/10)</f>
        <v>2.3789748225120584</v>
      </c>
      <c r="D221" s="2" t="s">
        <v>139</v>
      </c>
      <c r="L221" s="4" t="s">
        <v>160</v>
      </c>
      <c r="M221" s="14">
        <f>(0.4*PI()*M156*C54)/(L131/10)</f>
        <v>3.1872855860701321</v>
      </c>
      <c r="N221" s="2" t="s">
        <v>139</v>
      </c>
    </row>
    <row r="223" spans="1:14">
      <c r="A223" t="s">
        <v>147</v>
      </c>
      <c r="K223" t="s">
        <v>161</v>
      </c>
    </row>
    <row r="227" spans="1:4">
      <c r="A227" t="s">
        <v>162</v>
      </c>
    </row>
    <row r="229" spans="1:4">
      <c r="B229" s="4" t="s">
        <v>121</v>
      </c>
      <c r="C229" s="3">
        <v>845</v>
      </c>
      <c r="D229" s="2" t="s">
        <v>163</v>
      </c>
    </row>
    <row r="230" spans="1:4">
      <c r="B230" s="4" t="s">
        <v>121</v>
      </c>
      <c r="C230" s="3">
        <v>8.4500000000000006E-2</v>
      </c>
      <c r="D230" s="2" t="s">
        <v>164</v>
      </c>
    </row>
  </sheetData>
  <mergeCells count="18">
    <mergeCell ref="C5:D5"/>
    <mergeCell ref="C2:D2"/>
    <mergeCell ref="A71:J72"/>
    <mergeCell ref="A52:E52"/>
    <mergeCell ref="A48:E48"/>
    <mergeCell ref="A44:E44"/>
    <mergeCell ref="A40:E40"/>
    <mergeCell ref="A22:E22"/>
    <mergeCell ref="A18:E18"/>
    <mergeCell ref="A14:E14"/>
    <mergeCell ref="A58:E58"/>
    <mergeCell ref="A65:C65"/>
    <mergeCell ref="A34:E34"/>
    <mergeCell ref="A88:E88"/>
    <mergeCell ref="A82:E82"/>
    <mergeCell ref="A78:E78"/>
    <mergeCell ref="A74:E74"/>
    <mergeCell ref="A100:E100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florent.s</dc:creator>
  <cp:lastModifiedBy>florent.s</cp:lastModifiedBy>
  <dcterms:created xsi:type="dcterms:W3CDTF">2014-12-19T09:17:21Z</dcterms:created>
  <dcterms:modified xsi:type="dcterms:W3CDTF">2014-12-23T10:11:12Z</dcterms:modified>
</cp:coreProperties>
</file>